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<sst xmlns="http://schemas.openxmlformats.org/spreadsheetml/2006/main" count="613" uniqueCount="215">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</sst>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Лист4"/>
    </sheetNames>
    <sheetDataSet>
      <sheetData sheetId="17">
        <row r="6">
          <cell r="G6">
            <v>114340801.26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100515579.30000001</v>
          </cell>
        </row>
      </sheetData>
      <sheetData sheetId="19">
        <row r="28">
          <cell r="C28">
            <v>4044901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" sqref="H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94548.43999999999</v>
      </c>
      <c r="G8" s="22">
        <f aca="true" t="shared" si="0" ref="G8:G30">F8-E8</f>
        <v>-20689.460000000036</v>
      </c>
      <c r="H8" s="51">
        <f>F8/E8*100</f>
        <v>82.04630594622078</v>
      </c>
      <c r="I8" s="36">
        <f aca="true" t="shared" si="1" ref="I8:I17">F8-D8</f>
        <v>-424780.86</v>
      </c>
      <c r="J8" s="36">
        <f aca="true" t="shared" si="2" ref="J8:J14">F8/D8*100</f>
        <v>18.205874384518644</v>
      </c>
      <c r="K8" s="36">
        <f>F8-110917.9</f>
        <v>-16369.460000000006</v>
      </c>
      <c r="L8" s="136">
        <f>F8/110917.9</f>
        <v>0.8524182300602517</v>
      </c>
      <c r="M8" s="22">
        <f>M10+M19+M33+M56+M68+M30</f>
        <v>41173.10000000001</v>
      </c>
      <c r="N8" s="22">
        <f>N10+N19+N33+N56+N68+N30</f>
        <v>25235.190000000002</v>
      </c>
      <c r="O8" s="36">
        <f aca="true" t="shared" si="3" ref="O8:O71">N8-M8</f>
        <v>-15937.91000000001</v>
      </c>
      <c r="P8" s="36">
        <f>F8/M8*100</f>
        <v>229.63643738265995</v>
      </c>
      <c r="Q8" s="36">
        <f>N8-38338.6</f>
        <v>-13103.409999999996</v>
      </c>
      <c r="R8" s="134">
        <f>N8/38338.6</f>
        <v>0.6582188707986208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76749.26</v>
      </c>
      <c r="G9" s="22">
        <f t="shared" si="0"/>
        <v>76749.26</v>
      </c>
      <c r="H9" s="20"/>
      <c r="I9" s="56">
        <f t="shared" si="1"/>
        <v>-341616.94</v>
      </c>
      <c r="J9" s="56">
        <f t="shared" si="2"/>
        <v>18.344995365304364</v>
      </c>
      <c r="K9" s="56"/>
      <c r="L9" s="135"/>
      <c r="M9" s="20">
        <f>M10+M17</f>
        <v>33586.40000000001</v>
      </c>
      <c r="N9" s="20">
        <f>N10+N17</f>
        <v>22003.269999999997</v>
      </c>
      <c r="O9" s="36">
        <f t="shared" si="3"/>
        <v>-11583.130000000012</v>
      </c>
      <c r="P9" s="56">
        <f>F9/M9*100</f>
        <v>228.51290998737576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76749.26</v>
      </c>
      <c r="G10" s="49">
        <f t="shared" si="0"/>
        <v>-16707.34000000001</v>
      </c>
      <c r="H10" s="40">
        <f aca="true" t="shared" si="4" ref="H10:H17">F10/E10*100</f>
        <v>82.12288912714564</v>
      </c>
      <c r="I10" s="56">
        <f t="shared" si="1"/>
        <v>-341616.94</v>
      </c>
      <c r="J10" s="56">
        <f t="shared" si="2"/>
        <v>18.344995365304364</v>
      </c>
      <c r="K10" s="141">
        <f>F10-85215.1</f>
        <v>-8465.840000000011</v>
      </c>
      <c r="L10" s="142">
        <f>F10/85215.1</f>
        <v>0.9006532879736102</v>
      </c>
      <c r="M10" s="40">
        <f>E10-лютий!E10</f>
        <v>33586.40000000001</v>
      </c>
      <c r="N10" s="40">
        <f>F10-лютий!F10</f>
        <v>22003.269999999997</v>
      </c>
      <c r="O10" s="53">
        <f t="shared" si="3"/>
        <v>-11583.130000000012</v>
      </c>
      <c r="P10" s="56">
        <f aca="true" t="shared" si="5" ref="P10:P17">N10/M10*100</f>
        <v>65.51243955886903</v>
      </c>
      <c r="Q10" s="141">
        <f>N10-30092.3</f>
        <v>-8089.0300000000025</v>
      </c>
      <c r="R10" s="142">
        <f>N10/30092.3</f>
        <v>0.7311926971351475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804.19</v>
      </c>
      <c r="G19" s="49">
        <f t="shared" si="0"/>
        <v>-424.40999999999985</v>
      </c>
      <c r="H19" s="40">
        <f aca="true" t="shared" si="6" ref="H19:H29">F19/E19*100</f>
        <v>65.45580335341039</v>
      </c>
      <c r="I19" s="56">
        <f aca="true" t="shared" si="7" ref="I19:I29">F19-D19</f>
        <v>-5195.8099999999995</v>
      </c>
      <c r="J19" s="56">
        <f aca="true" t="shared" si="8" ref="J19:J29">F19/D19*100</f>
        <v>13.40316666666667</v>
      </c>
      <c r="K19" s="56">
        <f>F19-4285.5</f>
        <v>-3481.31</v>
      </c>
      <c r="L19" s="135">
        <f>F19/4285.5</f>
        <v>0.1876537160191343</v>
      </c>
      <c r="M19" s="40">
        <f>E19-лютий!E19</f>
        <v>510.9999999999999</v>
      </c>
      <c r="N19" s="40">
        <f>F19-лютий!F19</f>
        <v>65.08000000000004</v>
      </c>
      <c r="O19" s="53">
        <f t="shared" si="3"/>
        <v>-445.91999999999985</v>
      </c>
      <c r="P19" s="56">
        <f aca="true" t="shared" si="9" ref="P19:P29">N19/M19*100</f>
        <v>12.735812133072418</v>
      </c>
      <c r="Q19" s="56">
        <f>N19-409.4</f>
        <v>-344.31999999999994</v>
      </c>
      <c r="R19" s="135">
        <f>N19/409.4</f>
        <v>0.15896433805569135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739.67</v>
      </c>
      <c r="G29" s="49">
        <f t="shared" si="0"/>
        <v>11.069999999999936</v>
      </c>
      <c r="H29" s="40">
        <f t="shared" si="6"/>
        <v>101.51935218226735</v>
      </c>
      <c r="I29" s="56">
        <f t="shared" si="7"/>
        <v>-2260.33</v>
      </c>
      <c r="J29" s="56">
        <f t="shared" si="8"/>
        <v>24.655666666666665</v>
      </c>
      <c r="K29" s="148">
        <f>F29-731.3</f>
        <v>8.370000000000005</v>
      </c>
      <c r="L29" s="149">
        <f>F29/731.3</f>
        <v>1.0114453712566662</v>
      </c>
      <c r="M29" s="146">
        <f>E29-лютий!E29</f>
        <v>12.600000000000023</v>
      </c>
      <c r="N29" s="146">
        <f>F29-лютий!F29</f>
        <v>22.029999999999973</v>
      </c>
      <c r="O29" s="148">
        <f t="shared" si="3"/>
        <v>9.42999999999995</v>
      </c>
      <c r="P29" s="145">
        <f t="shared" si="9"/>
        <v>174.8412698412693</v>
      </c>
      <c r="Q29" s="145">
        <f>N29-408.7</f>
        <v>-386.67</v>
      </c>
      <c r="R29" s="196">
        <f>N29/408.7</f>
        <v>0.053902618057254645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15349.76</v>
      </c>
      <c r="G33" s="49">
        <f aca="true" t="shared" si="14" ref="G33:G72">F33-E33</f>
        <v>-3508.74</v>
      </c>
      <c r="H33" s="40">
        <f aca="true" t="shared" si="15" ref="H33:H67">F33/E33*100</f>
        <v>81.39438449505528</v>
      </c>
      <c r="I33" s="56">
        <f>F33-D33</f>
        <v>-72716.24</v>
      </c>
      <c r="J33" s="56">
        <f aca="true" t="shared" si="16" ref="J33:J72">F33/D33*100</f>
        <v>17.429836713374062</v>
      </c>
      <c r="K33" s="141">
        <f>F33-19762.7</f>
        <v>-4412.9400000000005</v>
      </c>
      <c r="L33" s="142">
        <f>F33/19762.7</f>
        <v>0.77670358807248</v>
      </c>
      <c r="M33" s="40">
        <f>E33-лютий!E33</f>
        <v>6470.299999999999</v>
      </c>
      <c r="N33" s="40">
        <f>F33-лютий!F33</f>
        <v>2592.76</v>
      </c>
      <c r="O33" s="53">
        <f t="shared" si="3"/>
        <v>-3877.539999999999</v>
      </c>
      <c r="P33" s="56">
        <f aca="true" t="shared" si="17" ref="P33:P67">N33/M33*100</f>
        <v>40.07171228536544</v>
      </c>
      <c r="Q33" s="141">
        <f>N33-7227.1</f>
        <v>-4634.34</v>
      </c>
      <c r="R33" s="142">
        <f>N33/7227.1</f>
        <v>0.35875524069128695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11598.75</v>
      </c>
      <c r="G55" s="144">
        <f t="shared" si="14"/>
        <v>-2419.449999999999</v>
      </c>
      <c r="H55" s="146">
        <f t="shared" si="15"/>
        <v>82.7406514388438</v>
      </c>
      <c r="I55" s="145">
        <f t="shared" si="18"/>
        <v>-54667.25</v>
      </c>
      <c r="J55" s="145">
        <f t="shared" si="16"/>
        <v>17.503319952917032</v>
      </c>
      <c r="K55" s="148">
        <f>F55-14615.9</f>
        <v>-3017.1499999999996</v>
      </c>
      <c r="L55" s="149">
        <f>F55/14615.9</f>
        <v>0.7935707004016175</v>
      </c>
      <c r="M55" s="146">
        <f>E55-лютий!E55</f>
        <v>4518.199999999999</v>
      </c>
      <c r="N55" s="146">
        <f>F55-лютий!F55</f>
        <v>2118.6399999999994</v>
      </c>
      <c r="O55" s="148">
        <f t="shared" si="3"/>
        <v>-2399.5599999999995</v>
      </c>
      <c r="P55" s="148">
        <f t="shared" si="17"/>
        <v>46.891239874286214</v>
      </c>
      <c r="Q55" s="194">
        <f>N55-4813.8</f>
        <v>-2695.1600000000008</v>
      </c>
      <c r="R55" s="195">
        <f>N55/4813.8</f>
        <v>0.44011799410029484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1641.54</v>
      </c>
      <c r="G56" s="49">
        <f t="shared" si="14"/>
        <v>-43.559999999999945</v>
      </c>
      <c r="H56" s="40">
        <f t="shared" si="15"/>
        <v>97.41499020829625</v>
      </c>
      <c r="I56" s="56">
        <f t="shared" si="18"/>
        <v>-5218.46</v>
      </c>
      <c r="J56" s="56">
        <f t="shared" si="16"/>
        <v>23.929154518950437</v>
      </c>
      <c r="K56" s="56">
        <f>F56-1629.5</f>
        <v>12.039999999999964</v>
      </c>
      <c r="L56" s="135">
        <f>F56/1629.5</f>
        <v>1.0073887695612151</v>
      </c>
      <c r="M56" s="40">
        <f>E56-лютий!E56</f>
        <v>605.3999999999999</v>
      </c>
      <c r="N56" s="40">
        <f>F56-лютий!F56</f>
        <v>574.0799999999999</v>
      </c>
      <c r="O56" s="53">
        <f t="shared" si="3"/>
        <v>-31.319999999999936</v>
      </c>
      <c r="P56" s="56">
        <f t="shared" si="17"/>
        <v>94.82656095143707</v>
      </c>
      <c r="Q56" s="56">
        <f>N56-609.7</f>
        <v>-35.62000000000012</v>
      </c>
      <c r="R56" s="135">
        <f>N56/609.7</f>
        <v>0.9415778251599145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3032.91</v>
      </c>
      <c r="G74" s="50">
        <f aca="true" t="shared" si="24" ref="G74:G92">F74-E74</f>
        <v>200.90999999999985</v>
      </c>
      <c r="H74" s="51">
        <f aca="true" t="shared" si="25" ref="H74:H87">F74/E74*100</f>
        <v>107.09427966101694</v>
      </c>
      <c r="I74" s="36">
        <f aca="true" t="shared" si="26" ref="I74:I92">F74-D74</f>
        <v>-14632.689999999999</v>
      </c>
      <c r="J74" s="36">
        <f aca="true" t="shared" si="27" ref="J74:J92">F74/D74*100</f>
        <v>17.16845168010144</v>
      </c>
      <c r="K74" s="36">
        <f>F74-3848.8</f>
        <v>-815.8900000000003</v>
      </c>
      <c r="L74" s="136">
        <f>F74/3848.8</f>
        <v>0.7880144460611099</v>
      </c>
      <c r="M74" s="22">
        <f>M77+M86+M88+M89+M94+M95+M96+M97+M99+M87+M103</f>
        <v>965</v>
      </c>
      <c r="N74" s="22">
        <f>N77+N86+N88+N89+N94+N95+N96+N97+N99+N32+N103+N87</f>
        <v>928.39</v>
      </c>
      <c r="O74" s="55">
        <f aca="true" t="shared" si="28" ref="O74:O92">N74-M74</f>
        <v>-36.610000000000014</v>
      </c>
      <c r="P74" s="36">
        <f>N74/M74*100</f>
        <v>96.20621761658032</v>
      </c>
      <c r="Q74" s="36">
        <f>N74-1138.4</f>
        <v>-210.0100000000001</v>
      </c>
      <c r="R74" s="136">
        <f>N74/1138.4</f>
        <v>0.8155217849613492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206.89</v>
      </c>
      <c r="G87" s="49">
        <f t="shared" si="24"/>
        <v>206.89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109.50999999999999</v>
      </c>
      <c r="O87" s="53">
        <f t="shared" si="28"/>
        <v>109.50999999999999</v>
      </c>
      <c r="P87" s="56" t="e">
        <f t="shared" si="29"/>
        <v>#DIV/0!</v>
      </c>
      <c r="Q87" s="56">
        <f>N87-0</f>
        <v>109.50999999999999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25.15</v>
      </c>
      <c r="G89" s="49">
        <f t="shared" si="24"/>
        <v>-13.850000000000001</v>
      </c>
      <c r="H89" s="40">
        <f>F89/E89*100</f>
        <v>64.48717948717947</v>
      </c>
      <c r="I89" s="56">
        <f t="shared" si="26"/>
        <v>-149.85</v>
      </c>
      <c r="J89" s="56">
        <f t="shared" si="27"/>
        <v>14.371428571428572</v>
      </c>
      <c r="K89" s="56">
        <f>F89-47.5</f>
        <v>-22.35</v>
      </c>
      <c r="L89" s="135">
        <f>F89/47.5</f>
        <v>0.5294736842105263</v>
      </c>
      <c r="M89" s="40">
        <f>E89-лютий!E89</f>
        <v>15</v>
      </c>
      <c r="N89" s="40">
        <f>F89-лютий!F89</f>
        <v>5.739999999999998</v>
      </c>
      <c r="O89" s="53">
        <f t="shared" si="28"/>
        <v>-9.260000000000002</v>
      </c>
      <c r="P89" s="56">
        <f>N89/M89*100</f>
        <v>38.26666666666665</v>
      </c>
      <c r="Q89" s="56">
        <f>N89-15.9</f>
        <v>-10.160000000000002</v>
      </c>
      <c r="R89" s="135">
        <f>N89/15.9</f>
        <v>0.361006289308176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1714.01</v>
      </c>
      <c r="G95" s="49">
        <f t="shared" si="31"/>
        <v>37.50999999999999</v>
      </c>
      <c r="H95" s="40">
        <f>F95/E95*100</f>
        <v>102.23739934387115</v>
      </c>
      <c r="I95" s="56">
        <f t="shared" si="32"/>
        <v>-4585.99</v>
      </c>
      <c r="J95" s="56">
        <f>F95/D95*100</f>
        <v>27.206507936507933</v>
      </c>
      <c r="K95" s="56">
        <f>F95-1478.7</f>
        <v>235.30999999999995</v>
      </c>
      <c r="L95" s="135">
        <f>F95/1478.7</f>
        <v>1.159133022249273</v>
      </c>
      <c r="M95" s="40">
        <f>E95-лютий!E95</f>
        <v>515</v>
      </c>
      <c r="N95" s="40">
        <f>F95-лютий!F95</f>
        <v>524.0899999999999</v>
      </c>
      <c r="O95" s="53">
        <f t="shared" si="33"/>
        <v>9.089999999999918</v>
      </c>
      <c r="P95" s="56">
        <f>N95/M95*100</f>
        <v>101.7650485436893</v>
      </c>
      <c r="Q95" s="56">
        <f>N95-653.7</f>
        <v>-129.61000000000013</v>
      </c>
      <c r="R95" s="135">
        <f>N95/653.7</f>
        <v>0.8017286216919074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184.76</v>
      </c>
      <c r="G96" s="49">
        <f t="shared" si="31"/>
        <v>-39.74000000000001</v>
      </c>
      <c r="H96" s="40">
        <f>F96/E96*100</f>
        <v>82.29844097995546</v>
      </c>
      <c r="I96" s="56">
        <f t="shared" si="32"/>
        <v>-1015.24</v>
      </c>
      <c r="J96" s="56">
        <f>F96/D96*100</f>
        <v>15.396666666666667</v>
      </c>
      <c r="K96" s="56">
        <f>F96-161.5</f>
        <v>23.25999999999999</v>
      </c>
      <c r="L96" s="135">
        <f>F96/161.5</f>
        <v>1.1440247678018576</v>
      </c>
      <c r="M96" s="40">
        <f>E96-лютий!E96</f>
        <v>80</v>
      </c>
      <c r="N96" s="40">
        <f>F96-лютий!F96</f>
        <v>58.219999999999985</v>
      </c>
      <c r="O96" s="53">
        <f t="shared" si="33"/>
        <v>-21.780000000000015</v>
      </c>
      <c r="P96" s="56">
        <f>N96/M96*100</f>
        <v>72.77499999999998</v>
      </c>
      <c r="Q96" s="56">
        <f>N96-101.5</f>
        <v>-43.280000000000015</v>
      </c>
      <c r="R96" s="135">
        <f>N96/101.5</f>
        <v>0.5735960591133004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861.6</v>
      </c>
      <c r="G99" s="49">
        <f t="shared" si="31"/>
        <v>84.60000000000002</v>
      </c>
      <c r="H99" s="40">
        <f>F99/E99*100</f>
        <v>110.8880308880309</v>
      </c>
      <c r="I99" s="56">
        <f t="shared" si="32"/>
        <v>-3018.4</v>
      </c>
      <c r="J99" s="56">
        <f>F99/D99*100</f>
        <v>22.20618556701031</v>
      </c>
      <c r="K99" s="56">
        <f>F99-730.6</f>
        <v>131</v>
      </c>
      <c r="L99" s="135">
        <f>F99/730.6</f>
        <v>1.1793046810840404</v>
      </c>
      <c r="M99" s="40">
        <f>E99-лютий!E99</f>
        <v>250</v>
      </c>
      <c r="N99" s="40">
        <f>F99-лютий!F99</f>
        <v>209.60000000000002</v>
      </c>
      <c r="O99" s="53">
        <f t="shared" si="33"/>
        <v>-40.39999999999998</v>
      </c>
      <c r="P99" s="56">
        <f>N99/M99*100</f>
        <v>83.84000000000002</v>
      </c>
      <c r="Q99" s="56">
        <f>N99-242.1</f>
        <v>-32.49999999999997</v>
      </c>
      <c r="R99" s="135">
        <f>N99/242.1</f>
        <v>0.8657579512598101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167.1</v>
      </c>
      <c r="G102" s="144"/>
      <c r="H102" s="146"/>
      <c r="I102" s="145"/>
      <c r="J102" s="145"/>
      <c r="K102" s="148">
        <f>F102-88.6</f>
        <v>78.5</v>
      </c>
      <c r="L102" s="149">
        <f>F102/88.6</f>
        <v>1.8860045146726863</v>
      </c>
      <c r="M102" s="40">
        <f>E102-лютий!E102</f>
        <v>0</v>
      </c>
      <c r="N102" s="40">
        <f>F102-лютий!F102</f>
        <v>37</v>
      </c>
      <c r="O102" s="53"/>
      <c r="P102" s="60"/>
      <c r="Q102" s="60">
        <f>N102-31.4</f>
        <v>5.600000000000001</v>
      </c>
      <c r="R102" s="135">
        <f>N102/31.4</f>
        <v>1.178343949044586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5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97584.06999999998</v>
      </c>
      <c r="G106" s="50">
        <f>F106-E106</f>
        <v>-20492.030000000042</v>
      </c>
      <c r="H106" s="51">
        <f>F106/E106*100</f>
        <v>82.64506534345219</v>
      </c>
      <c r="I106" s="36">
        <f t="shared" si="34"/>
        <v>-439455.8300000001</v>
      </c>
      <c r="J106" s="36">
        <f t="shared" si="36"/>
        <v>18.170729958798216</v>
      </c>
      <c r="K106" s="36">
        <f>F106-114781.4</f>
        <v>-17197.330000000016</v>
      </c>
      <c r="L106" s="136">
        <f>F106/114781.4</f>
        <v>0.8501731987935326</v>
      </c>
      <c r="M106" s="22">
        <f>M8+M74+M104+M105</f>
        <v>42140.10000000001</v>
      </c>
      <c r="N106" s="22">
        <f>N8+N74+N104+N105</f>
        <v>26163.61</v>
      </c>
      <c r="O106" s="55">
        <f t="shared" si="35"/>
        <v>-15976.490000000013</v>
      </c>
      <c r="P106" s="36">
        <f>N106/M106*100</f>
        <v>62.08720434930149</v>
      </c>
      <c r="Q106" s="36">
        <f>N106-39480.5</f>
        <v>-13316.89</v>
      </c>
      <c r="R106" s="136">
        <f>N106/39480.5</f>
        <v>0.6626970276465597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76934.01999999999</v>
      </c>
      <c r="G107" s="71">
        <f>G10-G18+G96</f>
        <v>-16747.080000000013</v>
      </c>
      <c r="H107" s="72">
        <f>F107/E107*100</f>
        <v>82.12330982450034</v>
      </c>
      <c r="I107" s="52">
        <f t="shared" si="34"/>
        <v>-342632.18000000005</v>
      </c>
      <c r="J107" s="52">
        <f t="shared" si="36"/>
        <v>18.336562859448637</v>
      </c>
      <c r="K107" s="52">
        <f>F107-85425.6</f>
        <v>-8491.580000000016</v>
      </c>
      <c r="L107" s="137">
        <f>F107/85425.6</f>
        <v>0.9005967766102899</v>
      </c>
      <c r="M107" s="71">
        <f>M10-M18+M96</f>
        <v>33666.40000000001</v>
      </c>
      <c r="N107" s="71">
        <f>N10-N18+N96</f>
        <v>22061.489999999998</v>
      </c>
      <c r="O107" s="53">
        <f t="shared" si="35"/>
        <v>-11604.91000000001</v>
      </c>
      <c r="P107" s="52">
        <f>N107/M107*100</f>
        <v>65.52969726492881</v>
      </c>
      <c r="Q107" s="52">
        <f>N107-30211.8</f>
        <v>-8150.310000000001</v>
      </c>
      <c r="R107" s="137">
        <f>N107/30211.8</f>
        <v>0.730227593192064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20650.04999999999</v>
      </c>
      <c r="G108" s="62">
        <f>F108-E108</f>
        <v>-3744.950000000026</v>
      </c>
      <c r="H108" s="72">
        <f>F108/E108*100</f>
        <v>84.64869850379166</v>
      </c>
      <c r="I108" s="52">
        <f t="shared" si="34"/>
        <v>-96823.65000000002</v>
      </c>
      <c r="J108" s="52">
        <f t="shared" si="36"/>
        <v>17.5784452179509</v>
      </c>
      <c r="K108" s="52">
        <f>F108-29355.8</f>
        <v>-8705.750000000011</v>
      </c>
      <c r="L108" s="137">
        <f>F108/29355.8</f>
        <v>0.7034402060240221</v>
      </c>
      <c r="M108" s="71">
        <f>M106-M107</f>
        <v>8473.700000000004</v>
      </c>
      <c r="N108" s="71">
        <f>N106-N107</f>
        <v>4102.120000000003</v>
      </c>
      <c r="O108" s="53">
        <f t="shared" si="35"/>
        <v>-4371.580000000002</v>
      </c>
      <c r="P108" s="52">
        <f>N108/M108*100</f>
        <v>48.41002159623306</v>
      </c>
      <c r="Q108" s="52">
        <f>N108-9268.6</f>
        <v>-5166.479999999998</v>
      </c>
      <c r="R108" s="137">
        <f>N108/9268.6</f>
        <v>0.44258248279136037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76934.01999999999</v>
      </c>
      <c r="G109" s="111">
        <f>F109-E109</f>
        <v>-16747.080000000016</v>
      </c>
      <c r="H109" s="72">
        <f>F109/E109*100</f>
        <v>82.12330982450034</v>
      </c>
      <c r="I109" s="81">
        <f t="shared" si="34"/>
        <v>-342632.18000000005</v>
      </c>
      <c r="J109" s="52">
        <f t="shared" si="36"/>
        <v>18.336562859448637</v>
      </c>
      <c r="K109" s="52"/>
      <c r="L109" s="137"/>
      <c r="M109" s="122">
        <f>E109-лютий!E109</f>
        <v>33666.40000000001</v>
      </c>
      <c r="N109" s="71">
        <f>N107</f>
        <v>22061.489999999998</v>
      </c>
      <c r="O109" s="118">
        <f t="shared" si="35"/>
        <v>-11604.91000000001</v>
      </c>
      <c r="P109" s="52">
        <f>N109/M109*100</f>
        <v>65.52969726492881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247.02</v>
      </c>
      <c r="G114" s="49">
        <f t="shared" si="37"/>
        <v>-467.58000000000004</v>
      </c>
      <c r="H114" s="40">
        <f aca="true" t="shared" si="39" ref="H114:H125">F114/E114*100</f>
        <v>34.56759026028548</v>
      </c>
      <c r="I114" s="60">
        <f t="shared" si="38"/>
        <v>-3424.48</v>
      </c>
      <c r="J114" s="60">
        <f aca="true" t="shared" si="40" ref="J114:J120">F114/D114*100</f>
        <v>6.728040310499796</v>
      </c>
      <c r="K114" s="60">
        <f>F114-834.4</f>
        <v>-587.38</v>
      </c>
      <c r="L114" s="138">
        <f>F114/834.4</f>
        <v>0.29604506232023015</v>
      </c>
      <c r="M114" s="40">
        <f>E114-лютий!E114</f>
        <v>327.5</v>
      </c>
      <c r="N114" s="40">
        <f>F114-лютий!F114</f>
        <v>67.78</v>
      </c>
      <c r="O114" s="53">
        <f aca="true" t="shared" si="41" ref="O114:O125">N114-M114</f>
        <v>-259.72</v>
      </c>
      <c r="P114" s="60">
        <f>N114/M114*100</f>
        <v>20.696183206106873</v>
      </c>
      <c r="Q114" s="60">
        <f>N114-228.9</f>
        <v>-161.12</v>
      </c>
      <c r="R114" s="138">
        <f>N114/228.9</f>
        <v>0.2961118392311053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314.83000000000004</v>
      </c>
      <c r="G116" s="62">
        <f t="shared" si="37"/>
        <v>-468.27</v>
      </c>
      <c r="H116" s="72">
        <f t="shared" si="39"/>
        <v>40.20303920316691</v>
      </c>
      <c r="I116" s="61">
        <f t="shared" si="38"/>
        <v>-3624.77</v>
      </c>
      <c r="J116" s="61">
        <f t="shared" si="40"/>
        <v>7.991420448776526</v>
      </c>
      <c r="K116" s="61">
        <f>F116-902.4</f>
        <v>-587.5699999999999</v>
      </c>
      <c r="L116" s="139">
        <f>F116/902.4</f>
        <v>0.3488807624113476</v>
      </c>
      <c r="M116" s="62">
        <f>M114+M115+M113</f>
        <v>349.5</v>
      </c>
      <c r="N116" s="38">
        <f>SUM(N113:N115)</f>
        <v>91.51</v>
      </c>
      <c r="O116" s="61">
        <f t="shared" si="41"/>
        <v>-257.99</v>
      </c>
      <c r="P116" s="61">
        <f>N116/M116*100</f>
        <v>26.18311874105866</v>
      </c>
      <c r="Q116" s="61">
        <f>N116-253.5</f>
        <v>-161.99</v>
      </c>
      <c r="R116" s="139">
        <f>N116/253.5</f>
        <v>0.36098619329388565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97.41</v>
      </c>
      <c r="G118" s="49">
        <f t="shared" si="37"/>
        <v>97.41</v>
      </c>
      <c r="H118" s="40" t="e">
        <f t="shared" si="39"/>
        <v>#DIV/0!</v>
      </c>
      <c r="I118" s="60">
        <f t="shared" si="38"/>
        <v>97.41</v>
      </c>
      <c r="J118" s="60" t="e">
        <f t="shared" si="40"/>
        <v>#DIV/0!</v>
      </c>
      <c r="K118" s="60">
        <f>F118-7.7</f>
        <v>89.71</v>
      </c>
      <c r="L118" s="138">
        <f>F118/7.7</f>
        <v>12.65064935064935</v>
      </c>
      <c r="M118" s="40">
        <f>E118-лютий!E118</f>
        <v>0</v>
      </c>
      <c r="N118" s="40">
        <f>F118-лютий!F118</f>
        <v>40.019999999999996</v>
      </c>
      <c r="O118" s="53" t="s">
        <v>166</v>
      </c>
      <c r="P118" s="60"/>
      <c r="Q118" s="60">
        <f>N118-2.5</f>
        <v>37.519999999999996</v>
      </c>
      <c r="R118" s="138">
        <f>N118/2.5</f>
        <v>16.008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19294.03</v>
      </c>
      <c r="G119" s="49">
        <f t="shared" si="37"/>
        <v>681.4300000000003</v>
      </c>
      <c r="H119" s="40">
        <f t="shared" si="39"/>
        <v>103.66112203561029</v>
      </c>
      <c r="I119" s="53">
        <f t="shared" si="38"/>
        <v>-6693.355</v>
      </c>
      <c r="J119" s="60">
        <f t="shared" si="40"/>
        <v>74.24383022762775</v>
      </c>
      <c r="K119" s="60">
        <f>F119-17244.2</f>
        <v>2049.829999999998</v>
      </c>
      <c r="L119" s="138">
        <f>F119/17244.2</f>
        <v>1.1188706927546652</v>
      </c>
      <c r="M119" s="40">
        <f>E119-лютий!E119</f>
        <v>3092.999999999998</v>
      </c>
      <c r="N119" s="40">
        <f>F119-лютий!F119</f>
        <v>2412.6899999999987</v>
      </c>
      <c r="O119" s="53">
        <f t="shared" si="41"/>
        <v>-680.3099999999995</v>
      </c>
      <c r="P119" s="60">
        <f aca="true" t="shared" si="42" ref="P119:P124">N119/M119*100</f>
        <v>78.00484966052377</v>
      </c>
      <c r="Q119" s="60">
        <f>N119-2792.9</f>
        <v>-380.2100000000014</v>
      </c>
      <c r="R119" s="138">
        <f>N119/2792.9</f>
        <v>0.8638655161301868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518.62</v>
      </c>
      <c r="G120" s="49">
        <f t="shared" si="37"/>
        <v>518.62</v>
      </c>
      <c r="H120" s="40" t="e">
        <f t="shared" si="39"/>
        <v>#DIV/0!</v>
      </c>
      <c r="I120" s="60">
        <f t="shared" si="38"/>
        <v>518.62</v>
      </c>
      <c r="J120" s="60" t="e">
        <f t="shared" si="40"/>
        <v>#DIV/0!</v>
      </c>
      <c r="K120" s="60">
        <f>F120-280.5</f>
        <v>238.12</v>
      </c>
      <c r="L120" s="138">
        <f>F120/230.5</f>
        <v>2.2499783080260305</v>
      </c>
      <c r="M120" s="40">
        <f>E120-лютий!E120</f>
        <v>0</v>
      </c>
      <c r="N120" s="40">
        <f>F120-лютий!F120</f>
        <v>42.72000000000003</v>
      </c>
      <c r="O120" s="53">
        <f t="shared" si="41"/>
        <v>42.72000000000003</v>
      </c>
      <c r="P120" s="60" t="e">
        <f t="shared" si="42"/>
        <v>#DIV/0!</v>
      </c>
      <c r="Q120" s="60">
        <f>N120-0</f>
        <v>42.72000000000003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1132.97</v>
      </c>
      <c r="G121" s="49">
        <f t="shared" si="37"/>
        <v>1132.97</v>
      </c>
      <c r="H121" s="40" t="e">
        <f t="shared" si="39"/>
        <v>#DIV/0!</v>
      </c>
      <c r="I121" s="60">
        <f t="shared" si="38"/>
        <v>1132.97</v>
      </c>
      <c r="J121" s="60" t="e">
        <f>F121/D121*100</f>
        <v>#DIV/0!</v>
      </c>
      <c r="K121" s="60">
        <f>F121-6993.4</f>
        <v>-5860.429999999999</v>
      </c>
      <c r="L121" s="138">
        <f>F121/6993.4</f>
        <v>0.162005605284983</v>
      </c>
      <c r="M121" s="40">
        <f>E121-лютий!E121</f>
        <v>0</v>
      </c>
      <c r="N121" s="40">
        <f>F121-лютий!F121</f>
        <v>89.79999999999995</v>
      </c>
      <c r="O121" s="53">
        <f t="shared" si="41"/>
        <v>89.79999999999995</v>
      </c>
      <c r="P121" s="60" t="e">
        <f t="shared" si="42"/>
        <v>#DIV/0!</v>
      </c>
      <c r="Q121" s="60">
        <f>N121-6463.4</f>
        <v>-6373.599999999999</v>
      </c>
      <c r="R121" s="138">
        <f>N121/6463.4</f>
        <v>0.013893616362904966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421.33</v>
      </c>
      <c r="G122" s="49">
        <f t="shared" si="37"/>
        <v>421.33</v>
      </c>
      <c r="H122" s="40" t="e">
        <f t="shared" si="39"/>
        <v>#DIV/0!</v>
      </c>
      <c r="I122" s="60">
        <f t="shared" si="38"/>
        <v>421.33</v>
      </c>
      <c r="J122" s="60" t="e">
        <f>F122/D122*100</f>
        <v>#DIV/0!</v>
      </c>
      <c r="K122" s="60">
        <f>F122-314.5</f>
        <v>106.82999999999998</v>
      </c>
      <c r="L122" s="138">
        <f>F122/314.5</f>
        <v>1.3396820349761527</v>
      </c>
      <c r="M122" s="40">
        <f>E122-лютий!E122</f>
        <v>0</v>
      </c>
      <c r="N122" s="40">
        <f>F122-лютий!F122</f>
        <v>333.92999999999995</v>
      </c>
      <c r="O122" s="53">
        <f t="shared" si="41"/>
        <v>333.92999999999995</v>
      </c>
      <c r="P122" s="60" t="e">
        <f t="shared" si="42"/>
        <v>#DIV/0!</v>
      </c>
      <c r="Q122" s="60">
        <f>N122-7.7</f>
        <v>326.22999999999996</v>
      </c>
      <c r="R122" s="138">
        <f>N122/7.7</f>
        <v>43.36753246753246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21464.36</v>
      </c>
      <c r="G123" s="62">
        <f t="shared" si="37"/>
        <v>2851.760000000002</v>
      </c>
      <c r="H123" s="72">
        <f t="shared" si="39"/>
        <v>115.32166381913329</v>
      </c>
      <c r="I123" s="61">
        <f t="shared" si="38"/>
        <v>-4523.024999999998</v>
      </c>
      <c r="J123" s="61">
        <f>F123/D123*100</f>
        <v>82.59530537605073</v>
      </c>
      <c r="K123" s="61">
        <f>F123-24840.3</f>
        <v>-3375.9399999999987</v>
      </c>
      <c r="L123" s="139">
        <f>F123/24840.3</f>
        <v>0.8640942339665786</v>
      </c>
      <c r="M123" s="62">
        <f>M119+M120+M121+M122+M118</f>
        <v>3092.999999999998</v>
      </c>
      <c r="N123" s="62">
        <f>N119+N120+N121+N122+N118</f>
        <v>2919.159999999999</v>
      </c>
      <c r="O123" s="61">
        <f t="shared" si="41"/>
        <v>-173.83999999999924</v>
      </c>
      <c r="P123" s="61">
        <f t="shared" si="42"/>
        <v>94.3795667636599</v>
      </c>
      <c r="Q123" s="61">
        <f>N123-9266.6</f>
        <v>-6347.440000000001</v>
      </c>
      <c r="R123" s="139">
        <f>N123/9266.6</f>
        <v>0.3150195325146223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4.13</v>
      </c>
      <c r="G124" s="49">
        <f t="shared" si="37"/>
        <v>-4.03</v>
      </c>
      <c r="H124" s="40">
        <f t="shared" si="39"/>
        <v>50.61274509803921</v>
      </c>
      <c r="I124" s="60">
        <f t="shared" si="38"/>
        <v>-39.37</v>
      </c>
      <c r="J124" s="60">
        <f>F124/D124*100</f>
        <v>9.494252873563218</v>
      </c>
      <c r="K124" s="60">
        <f>F124-97</f>
        <v>-92.87</v>
      </c>
      <c r="L124" s="138">
        <f>F124/97</f>
        <v>0.042577319587628865</v>
      </c>
      <c r="M124" s="40">
        <f>E124-лютий!E124</f>
        <v>3</v>
      </c>
      <c r="N124" s="40">
        <f>F124-лютий!F124</f>
        <v>3.9699999999999998</v>
      </c>
      <c r="O124" s="53">
        <f t="shared" si="41"/>
        <v>0.9699999999999998</v>
      </c>
      <c r="P124" s="60">
        <f>N124/M124*100</f>
        <v>132.33333333333331</v>
      </c>
      <c r="Q124" s="60">
        <f>N124-70.5</f>
        <v>-66.53</v>
      </c>
      <c r="R124" s="138">
        <f>N124/70.5</f>
        <v>0.05631205673758865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2603.25</v>
      </c>
      <c r="G127" s="49">
        <f aca="true" t="shared" si="43" ref="G127:G134">F127-E127</f>
        <v>95.75</v>
      </c>
      <c r="H127" s="40">
        <f>F127/E127*100</f>
        <v>103.8185443668993</v>
      </c>
      <c r="I127" s="60">
        <f aca="true" t="shared" si="44" ref="I127:I134">F127-D127</f>
        <v>-6096.75</v>
      </c>
      <c r="J127" s="60">
        <f>F127/D127*100</f>
        <v>29.92241379310345</v>
      </c>
      <c r="K127" s="60">
        <f>F127-2439.6</f>
        <v>163.6500000000001</v>
      </c>
      <c r="L127" s="138">
        <f>F127/2439.6</f>
        <v>1.067080668962125</v>
      </c>
      <c r="M127" s="40">
        <f>E127-лютий!E127</f>
        <v>0</v>
      </c>
      <c r="N127" s="40">
        <f>F127-лютий!F127</f>
        <v>-881.3899999999999</v>
      </c>
      <c r="O127" s="53">
        <f aca="true" t="shared" si="45" ref="O127:O134">N127-M127</f>
        <v>-881.3899999999999</v>
      </c>
      <c r="P127" s="60" t="e">
        <f>N127/M127*100</f>
        <v>#DIV/0!</v>
      </c>
      <c r="Q127" s="60">
        <f>N127-0.4</f>
        <v>-881.7899999999998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2615.8900000000003</v>
      </c>
      <c r="G129" s="62">
        <f t="shared" si="43"/>
        <v>93.03000000000065</v>
      </c>
      <c r="H129" s="72">
        <f>F129/E129*100</f>
        <v>103.6874816676312</v>
      </c>
      <c r="I129" s="61">
        <f t="shared" si="44"/>
        <v>-6134.81</v>
      </c>
      <c r="J129" s="61">
        <f>F129/D129*100</f>
        <v>29.893494234746935</v>
      </c>
      <c r="K129" s="61">
        <f>F129-2544.3</f>
        <v>71.59000000000015</v>
      </c>
      <c r="L129" s="139">
        <f>G129/2544.3</f>
        <v>0.03656408442400686</v>
      </c>
      <c r="M129" s="62">
        <f>M124+M127+M128+M126</f>
        <v>3</v>
      </c>
      <c r="N129" s="62">
        <f>N124+N127+N128+N126</f>
        <v>-877.4399999999998</v>
      </c>
      <c r="O129" s="61">
        <f t="shared" si="45"/>
        <v>-880.4399999999998</v>
      </c>
      <c r="P129" s="61">
        <f>N129/M129*100</f>
        <v>-29247.999999999996</v>
      </c>
      <c r="Q129" s="61">
        <f>N129-69.8</f>
        <v>-947.2399999999998</v>
      </c>
      <c r="R129" s="137">
        <f>N129/69.8</f>
        <v>-12.570773638968479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3.06</v>
      </c>
      <c r="G130" s="49">
        <f>F130-E130</f>
        <v>-4.789999999999999</v>
      </c>
      <c r="H130" s="40">
        <f>F130/E130*100</f>
        <v>38.98089171974522</v>
      </c>
      <c r="I130" s="60">
        <f>F130-D130</f>
        <v>-26.94</v>
      </c>
      <c r="J130" s="60">
        <f>F130/D130*100</f>
        <v>10.200000000000001</v>
      </c>
      <c r="K130" s="60">
        <f>F130-8.4</f>
        <v>-5.34</v>
      </c>
      <c r="L130" s="138">
        <f>F130/8.4</f>
        <v>0.36428571428571427</v>
      </c>
      <c r="M130" s="40">
        <f>E130-лютий!E130</f>
        <v>7</v>
      </c>
      <c r="N130" s="40">
        <f>F130-лютий!F130</f>
        <v>1.08</v>
      </c>
      <c r="O130" s="53">
        <f>N130-M130</f>
        <v>-5.92</v>
      </c>
      <c r="P130" s="60">
        <f>N130/M130*100</f>
        <v>15.42857142857143</v>
      </c>
      <c r="Q130" s="60">
        <f>N130-7.3</f>
        <v>-6.22</v>
      </c>
      <c r="R130" s="138">
        <f>N130/7.3</f>
        <v>0.14794520547945206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24398.14</v>
      </c>
      <c r="G133" s="50">
        <f t="shared" si="43"/>
        <v>2471.7299999999996</v>
      </c>
      <c r="H133" s="51">
        <f>F133/E133*100</f>
        <v>111.27284402690636</v>
      </c>
      <c r="I133" s="36">
        <f t="shared" si="44"/>
        <v>-14309.544999999998</v>
      </c>
      <c r="J133" s="36">
        <f>F133/D133*100</f>
        <v>63.031772631197136</v>
      </c>
      <c r="K133" s="36">
        <f>F133-28295.3</f>
        <v>-3897.16</v>
      </c>
      <c r="L133" s="136">
        <f>F133/28295.3</f>
        <v>0.8622682919071365</v>
      </c>
      <c r="M133" s="31">
        <f>M116+M130+M123+M129+M132+M131</f>
        <v>3452.499999999998</v>
      </c>
      <c r="N133" s="31">
        <f>N116+N130+N123+N129+N132+N131</f>
        <v>2134.3099999999995</v>
      </c>
      <c r="O133" s="36">
        <f t="shared" si="45"/>
        <v>-1318.1899999999987</v>
      </c>
      <c r="P133" s="36">
        <f>N133/M133*100</f>
        <v>61.81926140477917</v>
      </c>
      <c r="Q133" s="36">
        <f>N133-9597.2</f>
        <v>-7462.890000000001</v>
      </c>
      <c r="R133" s="136">
        <f>N133/9597.2</f>
        <v>0.222388821739674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121982.20999999998</v>
      </c>
      <c r="G134" s="50">
        <f t="shared" si="43"/>
        <v>-18020.300000000032</v>
      </c>
      <c r="H134" s="51">
        <f>F134/E134*100</f>
        <v>87.12858790888818</v>
      </c>
      <c r="I134" s="36">
        <f t="shared" si="44"/>
        <v>-453765.375</v>
      </c>
      <c r="J134" s="36">
        <f>F134/D134*100</f>
        <v>21.18675148242263</v>
      </c>
      <c r="K134" s="36">
        <f>F134-143076.7</f>
        <v>-21094.490000000034</v>
      </c>
      <c r="L134" s="136">
        <f>F134/143076.7</f>
        <v>0.8525651626015974</v>
      </c>
      <c r="M134" s="22">
        <f>M106+M133</f>
        <v>45592.60000000001</v>
      </c>
      <c r="N134" s="22">
        <f>N106+N133</f>
        <v>28297.92</v>
      </c>
      <c r="O134" s="36">
        <f t="shared" si="45"/>
        <v>-17294.680000000015</v>
      </c>
      <c r="P134" s="36">
        <f>N134/M134*100</f>
        <v>62.06691436768246</v>
      </c>
      <c r="Q134" s="36">
        <f>N134-49077.7</f>
        <v>-20779.78</v>
      </c>
      <c r="R134" s="136">
        <f>N134/49077.7</f>
        <v>0.576594257677112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4</v>
      </c>
      <c r="D136" s="4" t="s">
        <v>118</v>
      </c>
    </row>
    <row r="137" spans="2:17" ht="31.5">
      <c r="B137" s="78" t="s">
        <v>154</v>
      </c>
      <c r="C137" s="39">
        <f>IF(O106&lt;0,ABS(O106/C136),0)</f>
        <v>3994.122500000003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41723</v>
      </c>
      <c r="D138" s="39">
        <v>1767.1</v>
      </c>
      <c r="N138" s="152"/>
      <c r="O138" s="152"/>
    </row>
    <row r="139" spans="3:15" ht="15.75">
      <c r="C139" s="120">
        <v>41722</v>
      </c>
      <c r="D139" s="39">
        <v>849.1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41719</v>
      </c>
      <c r="D140" s="39">
        <v>3948.5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114340.80126000001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100515.57930000001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2014-03-26T10:17:49Z</cp:lastPrinted>
  <dcterms:created xsi:type="dcterms:W3CDTF">2003-07-28T11:27:56Z</dcterms:created>
  <dcterms:modified xsi:type="dcterms:W3CDTF">2014-03-26T10:19:34Z</dcterms:modified>
  <cp:category/>
  <cp:version/>
  <cp:contentType/>
  <cp:contentStatus/>
</cp:coreProperties>
</file>